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Lenovo\Desktop\Eldison\"/>
    </mc:Choice>
  </mc:AlternateContent>
  <xr:revisionPtr revIDLastSave="0" documentId="13_ncr:1_{C12ED448-906F-44D9-A720-BECA2D8123D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ummary" sheetId="3" r:id="rId1"/>
  </sheet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" i="3" l="1"/>
  <c r="B11" i="3"/>
  <c r="I17" i="3" l="1"/>
  <c r="I13" i="3"/>
  <c r="B13" i="3"/>
  <c r="I5" i="3"/>
  <c r="E9" i="3"/>
  <c r="D9" i="3"/>
  <c r="I11" i="3" l="1"/>
  <c r="I23" i="3"/>
  <c r="H7" i="3" s="1"/>
  <c r="I9" i="3"/>
  <c r="B5" i="3"/>
  <c r="I15" i="3" l="1"/>
  <c r="I20" i="3" s="1"/>
  <c r="B9" i="3"/>
  <c r="B25" i="3" l="1"/>
  <c r="D5" i="3" s="1"/>
  <c r="E5" i="3" s="1"/>
  <c r="B15" i="3"/>
  <c r="B17" i="3" s="1"/>
  <c r="D7" i="3" l="1"/>
  <c r="E11" i="3" s="1"/>
  <c r="D25" i="3"/>
  <c r="D13" i="3"/>
  <c r="D15" i="3" s="1"/>
  <c r="D17" i="3" s="1"/>
  <c r="E10" i="3"/>
  <c r="B20" i="3"/>
  <c r="E25" i="3"/>
  <c r="E7" i="3"/>
  <c r="F11" i="3" s="1"/>
  <c r="F5" i="3"/>
  <c r="E13" i="3" l="1"/>
  <c r="E15" i="3" s="1"/>
  <c r="E17" i="3" s="1"/>
  <c r="H5" i="3"/>
  <c r="H15" i="3" s="1"/>
  <c r="D20" i="3"/>
  <c r="F10" i="3"/>
  <c r="F25" i="3"/>
  <c r="F7" i="3"/>
  <c r="F9" i="3"/>
  <c r="H25" i="3" l="1"/>
  <c r="F13" i="3"/>
  <c r="H17" i="3"/>
  <c r="E20" i="3"/>
  <c r="H18" i="3" l="1"/>
  <c r="H20" i="3" s="1"/>
  <c r="H21" i="3" s="1"/>
  <c r="F15" i="3"/>
  <c r="F17" i="3" s="1"/>
  <c r="F2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A7" authorId="0" shapeId="0" xr:uid="{DDC59C2E-2A9F-4887-BA5D-5714AA2B5052}">
      <text>
        <r>
          <rPr>
            <sz val="9"/>
            <color indexed="81"/>
            <rFont val="Segoe UI"/>
            <family val="2"/>
          </rPr>
          <t>Paušál, ak reálne náklady sú vyššie uviesť reálne výdavky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  <comment ref="H7" authorId="0" shapeId="0" xr:uid="{992628E1-1606-4FEF-942D-05BC9A03C74A}">
      <text>
        <r>
          <rPr>
            <sz val="9"/>
            <color indexed="81"/>
            <rFont val="Segoe UI"/>
            <family val="2"/>
          </rPr>
          <t>Mzdové náklady, možnosť uplatniť aj iné náklady, ktoré nemusia ovplyvňovať net nakoľko by boli vynaložené aj mimo SRO - odpisy, PHM, diety ...</t>
        </r>
      </text>
    </comment>
    <comment ref="A10" authorId="0" shapeId="0" xr:uid="{94A7898B-A021-4BA2-81E2-FD13F45D2C4D}">
      <text>
        <r>
          <rPr>
            <sz val="9"/>
            <color indexed="81"/>
            <rFont val="Segoe UI"/>
            <charset val="1"/>
          </rPr>
          <t xml:space="preserve">splatné v R + 1
</t>
        </r>
      </text>
    </comment>
    <comment ref="A11" authorId="0" shapeId="0" xr:uid="{7C021BE6-84A8-427C-89FA-114F743C581E}">
      <text>
        <r>
          <rPr>
            <sz val="9"/>
            <color indexed="81"/>
            <rFont val="Segoe UI"/>
            <family val="2"/>
          </rPr>
          <t>Predpoklad - posun lehoty na DP za rok 2022 do juna 2023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<sst xmlns="http://schemas.openxmlformats.org/spreadsheetml/2006/main" count="21" uniqueCount="20">
  <si>
    <t>Daň</t>
  </si>
  <si>
    <t>Cisty prijem</t>
  </si>
  <si>
    <t>Prijem</t>
  </si>
  <si>
    <t>Zamestnanec</t>
  </si>
  <si>
    <t>-</t>
  </si>
  <si>
    <t>Náklady Z-ľ</t>
  </si>
  <si>
    <t>Odpočítateľná položka</t>
  </si>
  <si>
    <t>Základ dane</t>
  </si>
  <si>
    <t>Odvody Z-ľ</t>
  </si>
  <si>
    <t>Odvody - ZP</t>
  </si>
  <si>
    <t>Odvody - RZZP</t>
  </si>
  <si>
    <t>Odvody - SP</t>
  </si>
  <si>
    <t>SZČO - rok 1</t>
  </si>
  <si>
    <t>SZČO - rok 2</t>
  </si>
  <si>
    <t>Daň - DIVI</t>
  </si>
  <si>
    <t>Mesačná hrubá mzda</t>
  </si>
  <si>
    <t xml:space="preserve">Náklady </t>
  </si>
  <si>
    <t xml:space="preserve">SRO </t>
  </si>
  <si>
    <t>SRO - rok 3 a neskôr</t>
  </si>
  <si>
    <t>SZČO - rok 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</si>
</sst>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Segoe UI"/>
      <family val="2"/>
    </font>
    <font>
      <sz val="1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65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1" xfId="0" applyFill="1" applyBorder="1"/>
    <xf numFmtId="0" fontId="0" fillId="0" borderId="2" xfId="0" applyFill="1" applyBorder="1"/>
    <xf numFmtId="165" fontId="0" fillId="0" borderId="3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165" fontId="0" fillId="0" borderId="1" xfId="0" applyNumberFormat="1" applyFill="1" applyBorder="1"/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wrapText="1"/>
    </xf>
    <xf numFmtId="165" fontId="4" fillId="0" borderId="1" xfId="1" applyNumberFormat="1" applyFont="1" applyFill="1" applyBorder="1" applyAlignment="1">
      <alignment horizontal="center"/>
    </xf>
    <xf numFmtId="10" fontId="0" fillId="0" borderId="0" xfId="2" applyNumberFormat="1" applyFont="1"/>
    <xf numFmtId="164" fontId="0" fillId="3" borderId="0" xfId="1" applyFont="1" applyFill="1"/>
    <xf numFmtId="165" fontId="2" fillId="4" borderId="1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Border="1"/>
    <xf numFmtId="0" fontId="4" fillId="0" borderId="4" xfId="0" applyFont="1" applyFill="1" applyBorder="1"/>
    <xf numFmtId="165" fontId="4" fillId="0" borderId="4" xfId="0" applyNumberFormat="1" applyFont="1" applyFill="1" applyBorder="1"/>
    <xf numFmtId="165" fontId="4" fillId="0" borderId="5" xfId="0" applyNumberFormat="1" applyFont="1" applyFill="1" applyBorder="1"/>
    <xf numFmtId="165" fontId="0" fillId="0" borderId="4" xfId="0" applyNumberFormat="1" applyFill="1" applyBorder="1"/>
    <xf numFmtId="165" fontId="0" fillId="0" borderId="4" xfId="1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5" fontId="0" fillId="0" borderId="9" xfId="0" applyNumberFormat="1" applyFill="1" applyBorder="1"/>
    <xf numFmtId="164" fontId="0" fillId="0" borderId="0" xfId="1" applyFont="1" applyFill="1"/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0" fillId="0" borderId="5" xfId="1" applyNumberFormat="1" applyFont="1" applyFill="1" applyBorder="1" applyAlignment="1">
      <alignment horizontal="center" wrapText="1"/>
    </xf>
    <xf numFmtId="0" fontId="0" fillId="0" borderId="8" xfId="0" applyBorder="1" applyAlignment="1">
      <alignment wrapText="1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topLeftCell="A9" zoomScale="106" zoomScaleNormal="106" workbookViewId="0">
      <selection activeCell="D26" sqref="D26"/>
    </sheetView>
  </sheetViews>
  <sheetFormatPr defaultColWidth="8.85546875" defaultRowHeight="15" x14ac:dyDescent="0.25"/>
  <cols>
    <col min="1" max="1" width="14.7109375" customWidth="1"/>
    <col min="2" max="2" width="13.85546875" customWidth="1"/>
    <col min="3" max="3" width="6.42578125" customWidth="1"/>
    <col min="4" max="4" width="13.28515625" customWidth="1"/>
    <col min="5" max="5" width="12.5703125" bestFit="1" customWidth="1"/>
    <col min="6" max="6" width="13.5703125" customWidth="1"/>
    <col min="7" max="7" width="6.42578125" customWidth="1"/>
    <col min="8" max="8" width="15.140625" customWidth="1"/>
    <col min="9" max="9" width="13.5703125" customWidth="1"/>
    <col min="11" max="11" width="8" bestFit="1" customWidth="1"/>
    <col min="13" max="13" width="20.42578125" bestFit="1" customWidth="1"/>
    <col min="15" max="15" width="9.85546875" bestFit="1" customWidth="1"/>
  </cols>
  <sheetData>
    <row r="1" spans="1:15" ht="30" customHeight="1" x14ac:dyDescent="0.25">
      <c r="A1" s="11" t="s">
        <v>15</v>
      </c>
      <c r="B1" s="14">
        <v>3000</v>
      </c>
      <c r="C1" s="25"/>
    </row>
    <row r="2" spans="1:15" ht="15.75" thickBot="1" x14ac:dyDescent="0.3"/>
    <row r="3" spans="1:15" x14ac:dyDescent="0.25">
      <c r="A3" s="3"/>
      <c r="B3" s="10" t="s">
        <v>3</v>
      </c>
      <c r="C3" s="10"/>
      <c r="D3" s="10" t="s">
        <v>12</v>
      </c>
      <c r="E3" s="10" t="s">
        <v>13</v>
      </c>
      <c r="F3" s="10" t="s">
        <v>19</v>
      </c>
      <c r="G3" s="23"/>
      <c r="H3" s="26" t="s">
        <v>18</v>
      </c>
      <c r="I3" s="27"/>
    </row>
    <row r="4" spans="1:15" ht="15.75" thickBot="1" x14ac:dyDescent="0.3">
      <c r="A4" s="2"/>
      <c r="B4" s="5"/>
      <c r="C4" s="5"/>
      <c r="D4" s="16">
        <v>2023</v>
      </c>
      <c r="E4" s="16">
        <v>2024</v>
      </c>
      <c r="F4" s="16">
        <v>2025</v>
      </c>
      <c r="G4" s="16"/>
      <c r="H4" s="16" t="s">
        <v>17</v>
      </c>
      <c r="I4" s="16" t="s">
        <v>3</v>
      </c>
    </row>
    <row r="5" spans="1:15" x14ac:dyDescent="0.25">
      <c r="A5" s="2" t="s">
        <v>2</v>
      </c>
      <c r="B5" s="6">
        <f>12*B1</f>
        <v>36000</v>
      </c>
      <c r="C5" s="6"/>
      <c r="D5" s="6">
        <f>B25</f>
        <v>48672</v>
      </c>
      <c r="E5" s="6">
        <f>D5</f>
        <v>48672</v>
      </c>
      <c r="F5" s="6">
        <f>E5</f>
        <v>48672</v>
      </c>
      <c r="G5" s="8"/>
      <c r="H5" s="8">
        <f>F5</f>
        <v>48672</v>
      </c>
      <c r="I5" s="8">
        <f>12*700</f>
        <v>8400</v>
      </c>
      <c r="M5" s="1"/>
    </row>
    <row r="6" spans="1:15" x14ac:dyDescent="0.25">
      <c r="A6" s="2"/>
      <c r="B6" s="8"/>
      <c r="C6" s="8"/>
      <c r="D6" s="8"/>
      <c r="E6" s="8"/>
      <c r="F6" s="8"/>
      <c r="G6" s="8"/>
      <c r="H6" s="8"/>
      <c r="I6" s="8"/>
    </row>
    <row r="7" spans="1:15" x14ac:dyDescent="0.25">
      <c r="A7" s="2" t="s">
        <v>16</v>
      </c>
      <c r="B7" s="7" t="s">
        <v>4</v>
      </c>
      <c r="C7" s="7"/>
      <c r="D7" s="7">
        <f>MAX(-0.6*D5,-20000)</f>
        <v>-20000</v>
      </c>
      <c r="E7" s="7">
        <f>MAX(-0.6*E5,-20000)</f>
        <v>-20000</v>
      </c>
      <c r="F7" s="7">
        <f>MAX(-0.6*F5,-20000)</f>
        <v>-20000</v>
      </c>
      <c r="G7" s="7"/>
      <c r="H7" s="15">
        <f>-I5-I23</f>
        <v>-11356.8</v>
      </c>
      <c r="I7" s="7"/>
    </row>
    <row r="8" spans="1:15" x14ac:dyDescent="0.25">
      <c r="A8" s="2"/>
      <c r="B8" s="8"/>
      <c r="C8" s="8"/>
      <c r="D8" s="8"/>
      <c r="E8" s="8"/>
      <c r="F8" s="8"/>
      <c r="G8" s="8"/>
      <c r="H8" s="8"/>
      <c r="I8" s="8"/>
    </row>
    <row r="9" spans="1:15" x14ac:dyDescent="0.25">
      <c r="A9" s="2" t="s">
        <v>9</v>
      </c>
      <c r="B9" s="7">
        <f>-4/100*B5</f>
        <v>-1440</v>
      </c>
      <c r="C9" s="7"/>
      <c r="D9" s="7">
        <f>-84.77*12</f>
        <v>-1017.24</v>
      </c>
      <c r="E9" s="7">
        <f>-84.77*12</f>
        <v>-1017.24</v>
      </c>
      <c r="F9" s="7">
        <f>-(E5+E7)*14/100/1.486</f>
        <v>-2701.2651413189769</v>
      </c>
      <c r="G9" s="7"/>
      <c r="H9" s="7"/>
      <c r="I9" s="7">
        <f>-4/100*I5</f>
        <v>-336</v>
      </c>
      <c r="M9" s="1"/>
    </row>
    <row r="10" spans="1:15" x14ac:dyDescent="0.25">
      <c r="A10" s="2" t="s">
        <v>10</v>
      </c>
      <c r="B10" s="7">
        <v>0</v>
      </c>
      <c r="C10" s="7"/>
      <c r="D10" s="7">
        <v>0</v>
      </c>
      <c r="E10" s="7">
        <f>-(D5+D7)/1.486*0.14-D9</f>
        <v>-1684.0251413189774</v>
      </c>
      <c r="F10" s="7">
        <f>-(E5+E7)/1.486*0.14-E9</f>
        <v>-1684.0251413189774</v>
      </c>
      <c r="G10" s="7"/>
      <c r="H10" s="7"/>
      <c r="I10" s="7"/>
      <c r="M10" s="1"/>
    </row>
    <row r="11" spans="1:15" x14ac:dyDescent="0.25">
      <c r="A11" s="2" t="s">
        <v>11</v>
      </c>
      <c r="B11" s="7">
        <f>IF(B5&gt;8477*12,-8477*12*9.4/100,-B5*9.4/100)</f>
        <v>-3384</v>
      </c>
      <c r="C11" s="7"/>
      <c r="D11" s="7">
        <v>0</v>
      </c>
      <c r="E11" s="7">
        <f>MIN(IF((D5+D7)/1.486&gt;8477*12,-7931*12/1.486*0.3315*3/12,-(D5+D7)/1.486*33.15/100*3/12),-200.72*3)</f>
        <v>-1599.0524899057875</v>
      </c>
      <c r="F11" s="7">
        <f>MIN(IF((E5+E7)/1.486&gt;8477*12,-7931*12/1.486*0.3315,-(E5+E7)/1.486*33.15/100),-200.72*12)</f>
        <v>-6396.2099596231501</v>
      </c>
      <c r="G11" s="7"/>
      <c r="H11" s="7"/>
      <c r="I11" s="7">
        <f>-I5*9.4/100</f>
        <v>-789.6</v>
      </c>
      <c r="M11" s="1"/>
    </row>
    <row r="12" spans="1:15" x14ac:dyDescent="0.25">
      <c r="A12" s="2"/>
      <c r="B12" s="7"/>
      <c r="C12" s="7"/>
      <c r="D12" s="7"/>
      <c r="E12" s="7"/>
      <c r="F12" s="7"/>
      <c r="G12" s="7"/>
      <c r="H12" s="7"/>
      <c r="I12" s="7"/>
    </row>
    <row r="13" spans="1:15" ht="30" customHeight="1" x14ac:dyDescent="0.25">
      <c r="A13" s="11" t="s">
        <v>6</v>
      </c>
      <c r="B13" s="7">
        <f>IF((B5+B9+B10+B11)=0,0,-ROUNDUP(IF((44.2*234.42-0.25*(B5+B9+B10+B11))&lt;0,0,IF((B5+B9+B10+B11)&lt;=92.8*234.42,21*234.42,44.2*234.42-0.25*(B5+B9+B10+B11))),2))</f>
        <v>-2567.3700000000003</v>
      </c>
      <c r="C13" s="7"/>
      <c r="D13" s="7">
        <f>IF((D5+D7+D9+D10+D11)=0,0,-ROUNDUP(IF((44.2*234.42-0.25*(D5+D7+D9+D10+D11))&lt;0,0,IF((D5+D7+D9+D10+D11)&lt;=92.8*234.42,21*234.42,44.2*234.42-0.25*(D5+D7+D9+D10+D11))),2))</f>
        <v>-3447.6800000000003</v>
      </c>
      <c r="E13" s="7">
        <f>IF((E5+E7+E9+E10+E11)=0,0,-ROUNDUP(IF((44.2*234.42-0.25*(E5+E7+E9+E10+E11))&lt;0,0,IF((E5+E7+E9+E10+E11)&lt;=92.8*234.42,21*234.42,44.2*234.42-0.25*(E5+E7+E9+E10+E11))),2))</f>
        <v>-4268.45</v>
      </c>
      <c r="F13" s="7">
        <f>IF((F5+F7+F9+F10+F11)=0,0,-ROUNDUP(IF((44.2*234.42-0.25*(F5+F7+F9+F10+F11))&lt;0,0,IF((F5+F7+F9+F10+F11)&lt;=92.8*234.42,21*234.42,44.2*234.42-0.25*(F5+F7+F9+F10+F11))),2))</f>
        <v>-4922.82</v>
      </c>
      <c r="G13" s="7"/>
      <c r="H13" s="7"/>
      <c r="I13" s="7">
        <f>IF((I5+I9+I11)=0,0,-ROUNDUP(IF((44.2*234.42-0.25*(I5+I9+I11))&lt;0,0,IF((I5+I9+I11)&lt;=92.8*234.42,21*234.42,44.2*234.42-0.25*(I5+I9+I11))),2))</f>
        <v>-4922.82</v>
      </c>
      <c r="M13" s="1"/>
      <c r="N13" s="1"/>
    </row>
    <row r="14" spans="1:15" x14ac:dyDescent="0.25">
      <c r="A14" s="11"/>
      <c r="B14" s="7"/>
      <c r="C14" s="7"/>
      <c r="D14" s="7"/>
      <c r="E14" s="7"/>
      <c r="F14" s="7"/>
      <c r="G14" s="7"/>
      <c r="H14" s="7"/>
      <c r="I14" s="7"/>
      <c r="M14" s="1"/>
      <c r="O14" s="1"/>
    </row>
    <row r="15" spans="1:15" x14ac:dyDescent="0.25">
      <c r="A15" s="11" t="s">
        <v>7</v>
      </c>
      <c r="B15" s="12">
        <f>B5+B9+B11+B13</f>
        <v>28608.63</v>
      </c>
      <c r="C15" s="12"/>
      <c r="D15" s="12">
        <f>D5+D7+D9+D10+D11+D13</f>
        <v>24207.079999999998</v>
      </c>
      <c r="E15" s="12">
        <f>E5+E7+E9+E10+E11+E13</f>
        <v>20103.232368775232</v>
      </c>
      <c r="F15" s="12">
        <f>F5+F7+F9+F10+F11+F13</f>
        <v>12967.679757738897</v>
      </c>
      <c r="G15" s="12"/>
      <c r="H15" s="12">
        <f>H5+H7</f>
        <v>37315.199999999997</v>
      </c>
      <c r="I15" s="12">
        <f>I5+I9+I11+I13</f>
        <v>2351.58</v>
      </c>
      <c r="L15" s="1"/>
      <c r="M15" s="1"/>
      <c r="O15" s="1"/>
    </row>
    <row r="16" spans="1:15" x14ac:dyDescent="0.25">
      <c r="A16" s="2"/>
      <c r="B16" s="4"/>
      <c r="C16" s="4"/>
      <c r="D16" s="4"/>
      <c r="E16" s="4"/>
      <c r="F16" s="4"/>
      <c r="G16" s="4"/>
      <c r="H16" s="4"/>
      <c r="I16" s="4"/>
    </row>
    <row r="17" spans="1:12" x14ac:dyDescent="0.25">
      <c r="A17" s="2" t="s">
        <v>0</v>
      </c>
      <c r="B17" s="7">
        <f>-IF((B15)&lt;41445.46,B15*0.19,((B15-41445.46)*0.25+41445.46*0.19))</f>
        <v>-5435.6397000000006</v>
      </c>
      <c r="C17" s="7"/>
      <c r="D17" s="7">
        <f>-IF(D5&lt;50000,D15*0.15,IF((D15)&lt;41445.46,D15*0.19,((D15-41445.46)*0.25+41445.46*0.19)))</f>
        <v>-3631.0619999999994</v>
      </c>
      <c r="E17" s="7">
        <f>-IF(E5&lt;50000,E15*0.15,IF((E15)&lt;41445.46,E15*0.19,((E15-41445.46)*0.25+41445.46*0.19)))</f>
        <v>-3015.4848553162847</v>
      </c>
      <c r="F17" s="7">
        <f>-IF(F5&lt;50000,F15*0.15,IF((F15)&lt;41445.46,F15*0.19,((F15-41445.46)*0.25+41445.46*0.19)))</f>
        <v>-1945.1519636608346</v>
      </c>
      <c r="G17" s="7"/>
      <c r="H17" s="7">
        <f>-IF(H5&lt;50000,H15*0.15,H15*0.21)</f>
        <v>-5597.28</v>
      </c>
      <c r="I17" s="7">
        <f>-IF((I15)&lt;41445.46,I15*0.19,((I15-41445.46)*0.25+41445.46*0.19))</f>
        <v>-446.80020000000002</v>
      </c>
    </row>
    <row r="18" spans="1:12" x14ac:dyDescent="0.25">
      <c r="A18" s="2" t="s">
        <v>14</v>
      </c>
      <c r="B18" s="7"/>
      <c r="C18" s="7"/>
      <c r="D18" s="7"/>
      <c r="E18" s="7"/>
      <c r="F18" s="7"/>
      <c r="G18" s="7"/>
      <c r="H18" s="7">
        <f>-(H15+H17)*7/100</f>
        <v>-2220.2543999999998</v>
      </c>
      <c r="I18" s="7"/>
    </row>
    <row r="19" spans="1:12" ht="15.75" thickBot="1" x14ac:dyDescent="0.3">
      <c r="A19" s="2"/>
      <c r="B19" s="5"/>
      <c r="C19" s="5"/>
      <c r="D19" s="5"/>
      <c r="E19" s="5"/>
      <c r="F19" s="5"/>
      <c r="G19" s="5"/>
      <c r="H19" s="5"/>
      <c r="I19" s="5"/>
    </row>
    <row r="20" spans="1:12" ht="15.75" thickBot="1" x14ac:dyDescent="0.3">
      <c r="A20" s="17" t="s">
        <v>1</v>
      </c>
      <c r="B20" s="21">
        <f>B5+B17+B9+B11</f>
        <v>25740.3603</v>
      </c>
      <c r="C20" s="21"/>
      <c r="D20" s="21">
        <f>D5+D9+D17+D10+D11</f>
        <v>44023.698000000004</v>
      </c>
      <c r="E20" s="21">
        <f>E5+E17+E9+E11+E10</f>
        <v>41356.197513458952</v>
      </c>
      <c r="F20" s="21">
        <f>F5+F17+F9+F11+F10</f>
        <v>35945.347794078065</v>
      </c>
      <c r="G20" s="21"/>
      <c r="H20" s="22">
        <f>H5+H7+H17+H18</f>
        <v>29497.6656</v>
      </c>
      <c r="I20" s="21">
        <f>I5+I9+I11+I17</f>
        <v>6827.5998</v>
      </c>
      <c r="K20" s="13"/>
      <c r="L20" s="13"/>
    </row>
    <row r="21" spans="1:12" ht="15.75" thickBot="1" x14ac:dyDescent="0.3">
      <c r="A21" s="2"/>
      <c r="B21" s="9"/>
      <c r="C21" s="9"/>
      <c r="D21" s="9"/>
      <c r="E21" s="9"/>
      <c r="F21" s="9"/>
      <c r="G21" s="24"/>
      <c r="H21" s="30">
        <f>H20+I20</f>
        <v>36325.265400000004</v>
      </c>
      <c r="I21" s="31"/>
      <c r="K21" s="13"/>
      <c r="L21" s="13"/>
    </row>
    <row r="22" spans="1:12" x14ac:dyDescent="0.25">
      <c r="A22" s="2"/>
      <c r="B22" s="9"/>
      <c r="C22" s="9"/>
      <c r="D22" s="9"/>
      <c r="E22" s="9"/>
      <c r="F22" s="9"/>
      <c r="G22" s="9"/>
      <c r="H22" s="9"/>
      <c r="I22" s="9"/>
    </row>
    <row r="23" spans="1:12" x14ac:dyDescent="0.25">
      <c r="A23" s="2" t="s">
        <v>8</v>
      </c>
      <c r="B23" s="9">
        <f>IF(B5&gt;8477*12,8477*12*24.4/100+10.8/100*B5,B5*35.2/100)</f>
        <v>12672</v>
      </c>
      <c r="C23" s="9"/>
      <c r="D23" s="9">
        <v>0</v>
      </c>
      <c r="E23" s="9">
        <v>0</v>
      </c>
      <c r="F23" s="9">
        <v>0</v>
      </c>
      <c r="G23" s="9"/>
      <c r="H23" s="9">
        <v>0</v>
      </c>
      <c r="I23" s="9">
        <f>I5*0.352</f>
        <v>2956.7999999999997</v>
      </c>
    </row>
    <row r="24" spans="1:12" ht="15.75" thickBot="1" x14ac:dyDescent="0.3">
      <c r="A24" s="4"/>
      <c r="B24" s="4"/>
      <c r="C24" s="4"/>
      <c r="D24" s="4"/>
      <c r="E24" s="4"/>
      <c r="F24" s="4"/>
      <c r="G24" s="4"/>
      <c r="H24" s="4"/>
      <c r="I24" s="4"/>
      <c r="K24" s="1"/>
    </row>
    <row r="25" spans="1:12" ht="15.75" thickBot="1" x14ac:dyDescent="0.3">
      <c r="A25" s="18" t="s">
        <v>5</v>
      </c>
      <c r="B25" s="19">
        <f>B5+B23</f>
        <v>48672</v>
      </c>
      <c r="C25" s="19"/>
      <c r="D25" s="19">
        <f>D5</f>
        <v>48672</v>
      </c>
      <c r="E25" s="19">
        <f>E5</f>
        <v>48672</v>
      </c>
      <c r="F25" s="20">
        <f>F5</f>
        <v>48672</v>
      </c>
      <c r="G25" s="20"/>
      <c r="H25" s="28">
        <f>H5</f>
        <v>48672</v>
      </c>
      <c r="I25" s="29"/>
      <c r="K25" s="13"/>
      <c r="L25" s="13"/>
    </row>
    <row r="27" spans="1:12" x14ac:dyDescent="0.25">
      <c r="B27" s="1"/>
      <c r="C27" s="1"/>
    </row>
    <row r="49" spans="2:4" x14ac:dyDescent="0.25">
      <c r="B49" s="1"/>
      <c r="C49" s="1"/>
      <c r="D49" s="1"/>
    </row>
    <row r="50" spans="2:4" x14ac:dyDescent="0.25">
      <c r="B50" s="1"/>
      <c r="C50" s="1"/>
      <c r="D50" s="1"/>
    </row>
  </sheetData>
  <mergeCells count="3">
    <mergeCell ref="H3:I3"/>
    <mergeCell ref="H25:I25"/>
    <mergeCell ref="H21:I21"/>
  </mergeCells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Ihnat</dc:creator>
  <cp:lastModifiedBy>Lenovo</cp:lastModifiedBy>
  <cp:lastPrinted>2022-02-17T18:22:33Z</cp:lastPrinted>
  <dcterms:created xsi:type="dcterms:W3CDTF">2018-05-23T07:08:26Z</dcterms:created>
  <dcterms:modified xsi:type="dcterms:W3CDTF">2022-12-04T16:58:57Z</dcterms:modified>
</cp:coreProperties>
</file>